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05" windowWidth="12120" windowHeight="9120" activeTab="0"/>
  </bookViews>
  <sheets>
    <sheet name="シュミット回路" sheetId="1" r:id="rId1"/>
  </sheets>
  <definedNames/>
  <calcPr fullCalcOnLoad="1"/>
</workbook>
</file>

<file path=xl/sharedStrings.xml><?xml version="1.0" encoding="utf-8"?>
<sst xmlns="http://schemas.openxmlformats.org/spreadsheetml/2006/main" count="204" uniqueCount="125">
  <si>
    <t>R2</t>
  </si>
  <si>
    <t>　</t>
  </si>
  <si>
    <t>連立方程式を解く</t>
  </si>
  <si>
    <t>E2</t>
  </si>
  <si>
    <t xml:space="preserve"> </t>
  </si>
  <si>
    <t>C=</t>
  </si>
  <si>
    <t>E=</t>
  </si>
  <si>
    <t>算出結果</t>
  </si>
  <si>
    <t>コンパレータのシュミットレベル、ヒステリシスを求める</t>
  </si>
  <si>
    <t>ﾄﾗﾝｼﾞｽﾀ回路のシュミットレベル、ヒステリシスを求める</t>
  </si>
  <si>
    <t>基本回路</t>
  </si>
  <si>
    <t>　　　　E1</t>
  </si>
  <si>
    <t>定数の入力</t>
  </si>
  <si>
    <t>　　   　　　E2</t>
  </si>
  <si>
    <t>E1　　　=</t>
  </si>
  <si>
    <t>（ｖ）</t>
  </si>
  <si>
    <t>E1</t>
  </si>
  <si>
    <t>E2　　　=</t>
  </si>
  <si>
    <t>　　　　R1</t>
  </si>
  <si>
    <t>E3　　　=</t>
  </si>
  <si>
    <t>　     　　　R5</t>
  </si>
  <si>
    <t>Vset　=</t>
  </si>
  <si>
    <t>ﾄﾗﾝｼﾞｽﾀON電圧</t>
  </si>
  <si>
    <t>R1</t>
  </si>
  <si>
    <t>　　R2</t>
  </si>
  <si>
    <t>Vbe　　=</t>
  </si>
  <si>
    <t>ﾄﾗﾝｼﾞｽﾀのVbe室温</t>
  </si>
  <si>
    <t>ﾄﾗﾝｼﾞｽﾀのVbe低温</t>
  </si>
  <si>
    <t xml:space="preserve"> Vbe=0.75V　at　+80℃</t>
  </si>
  <si>
    <t>　　     　　　E4L</t>
  </si>
  <si>
    <t>ﾄﾗﾝｼﾞｽﾀのVbe高温</t>
  </si>
  <si>
    <t xml:space="preserve"> Vbe=0.45V　at　-25℃</t>
  </si>
  <si>
    <t>　　　　e5</t>
  </si>
  <si>
    <t>　　　e1</t>
  </si>
  <si>
    <t>R1　　　=</t>
  </si>
  <si>
    <t>（KΩ）</t>
  </si>
  <si>
    <t>R2　　　=</t>
  </si>
  <si>
    <t>　　　　R2</t>
  </si>
  <si>
    <t>参考　E1、E3、R1,R2からe5を算出</t>
  </si>
  <si>
    <t>eIN</t>
  </si>
  <si>
    <t>R3　　　=</t>
  </si>
  <si>
    <t>R4　　　=</t>
  </si>
  <si>
    <t>負荷抵抗</t>
  </si>
  <si>
    <t xml:space="preserve">        e5=</t>
  </si>
  <si>
    <t>(v)</t>
  </si>
  <si>
    <t>R4</t>
  </si>
  <si>
    <t>　　　　E3</t>
  </si>
  <si>
    <t>並列抵抗値を求める</t>
  </si>
  <si>
    <t>Voh</t>
  </si>
  <si>
    <t>VoL</t>
  </si>
  <si>
    <t>ﾋｽﾃﾘｼｽ</t>
  </si>
  <si>
    <t>R3　　e6</t>
  </si>
  <si>
    <t>室温</t>
  </si>
  <si>
    <t>Ra、Rbが並列で合成抵抗値Rzを求める</t>
  </si>
  <si>
    <t>低温</t>
  </si>
  <si>
    <t>　　　　Ra=</t>
  </si>
  <si>
    <t>ｋΩ</t>
  </si>
  <si>
    <t>R3</t>
  </si>
  <si>
    <t>高温</t>
  </si>
  <si>
    <t>　　　　Rb=</t>
  </si>
  <si>
    <t>E3</t>
  </si>
  <si>
    <t>e１</t>
  </si>
  <si>
    <t>　　　　Rz=</t>
  </si>
  <si>
    <t>E4L　　=</t>
  </si>
  <si>
    <t>"L"時電圧  （残り電圧）</t>
  </si>
  <si>
    <t>同様でRaとRzからRbを求める</t>
  </si>
  <si>
    <t>e5　　　=</t>
  </si>
  <si>
    <t>一定電圧印加時の条件</t>
  </si>
  <si>
    <t>R5　　　=</t>
  </si>
  <si>
    <t>電圧出力ﾀｲﾌﾟの素子の場合は ０Ωとする</t>
  </si>
  <si>
    <t>算出内容</t>
  </si>
  <si>
    <t>E2を"H"時電圧とする</t>
  </si>
  <si>
    <t>eL＝E2＋Vbe＋（E1-E2-Vset）＊R3/（R1＋R3）</t>
  </si>
  <si>
    <t>Vol</t>
  </si>
  <si>
    <t>e1＝E3＋R4（E1＋E3）/（R2＋R4）</t>
  </si>
  <si>
    <t>完全算出の場合</t>
  </si>
  <si>
    <t>e5一定電圧印加の条件</t>
  </si>
  <si>
    <t>ｅ５</t>
  </si>
  <si>
    <t>e6</t>
  </si>
  <si>
    <t>　　　　　E1</t>
  </si>
  <si>
    <t>　　　　　E2</t>
  </si>
  <si>
    <t>A=Bg+Ch</t>
  </si>
  <si>
    <t>A=E1-Vset-E2</t>
  </si>
  <si>
    <t>B=R2+R3</t>
  </si>
  <si>
    <t>C=R3</t>
  </si>
  <si>
    <t>D=Eg+Fh</t>
  </si>
  <si>
    <t>D=E1-E3</t>
  </si>
  <si>
    <t>E=R2</t>
  </si>
  <si>
    <t>F=-R4</t>
  </si>
  <si>
    <t>　　　　　R1</t>
  </si>
  <si>
    <t xml:space="preserve">         ↓i2</t>
  </si>
  <si>
    <t>　　　　↓ｉ1</t>
  </si>
  <si>
    <t>常数入力</t>
  </si>
  <si>
    <t>A=</t>
  </si>
  <si>
    <t>ｈ＝</t>
  </si>
  <si>
    <t>E2+R3(h+g)=</t>
  </si>
  <si>
    <t>B=</t>
  </si>
  <si>
    <t>ｇ＝</t>
  </si>
  <si>
    <t>　　　　　R2</t>
  </si>
  <si>
    <t>↑ｉ2</t>
  </si>
  <si>
    <t>D=</t>
  </si>
  <si>
    <t>　　　　　E3</t>
  </si>
  <si>
    <t>E4L</t>
  </si>
  <si>
    <t>F=</t>
  </si>
  <si>
    <t>Rx=R3+R4+R5</t>
  </si>
  <si>
    <t>　　　Rx=R3+R4</t>
  </si>
  <si>
    <t>Ｒ４</t>
  </si>
  <si>
    <t>R5</t>
  </si>
  <si>
    <t>RX=R3+R4+R5</t>
  </si>
  <si>
    <t>RX=R3+R4</t>
  </si>
  <si>
    <t>A=(E2-E3)R1-(E1-E2)R2</t>
  </si>
  <si>
    <t>A=(E4L-E3)R1-(E1-E4L)R2</t>
  </si>
  <si>
    <t>B=(R2RX)+R1(R2+RX)</t>
  </si>
  <si>
    <t>ｉ2=A/B</t>
  </si>
  <si>
    <t>ｉ1=(E1-E2+RXｉ2)/R1</t>
  </si>
  <si>
    <t>ｉ1=(E1-E４Ｌ+RXｉ2)/R1</t>
  </si>
  <si>
    <t>e5=R2(ｉ1+ｉ2)</t>
  </si>
  <si>
    <t>e6=e5+R3ｉ2</t>
  </si>
  <si>
    <t>ｺﾝﾊﾟﾚｰﾀＩＣを使用してシュミット回路を作ります。</t>
  </si>
  <si>
    <t>電源は異電源でも算出できます。</t>
  </si>
  <si>
    <t>参考：E3=0とすれば単電源</t>
  </si>
  <si>
    <t>トランジスタによるシュミット回路の基本です。</t>
  </si>
  <si>
    <t>参考：E2=E3=0とすれば単電源</t>
  </si>
  <si>
    <t>前段のﾄﾗﾝｼﾞｽﾀがONすると入力ｲﾝﾋﾟｰﾀﾞﾝｽが小さくなるので回路によっては注意が必要</t>
  </si>
  <si>
    <t>　　　　　（前段のﾄﾗﾝｼﾞｽﾀのﾍﾞｰｽに抵抗を直列に接続すると抵抗値分だけｲﾝﾋﾟｰﾀﾞﾝｽがUPする）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</si>
</sst>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00_ "/>
    <numFmt numFmtId="179" formatCode="0.00_ "/>
    <numFmt numFmtId="180" formatCode="0.000"/>
    <numFmt numFmtId="181" formatCode="0_ 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8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4" borderId="0" xfId="0" applyFill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2" borderId="25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2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2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 quotePrefix="1">
      <alignment horizontal="left"/>
    </xf>
    <xf numFmtId="0" fontId="0" fillId="0" borderId="9" xfId="0" applyBorder="1" applyAlignment="1" applyProtection="1">
      <alignment horizontal="left"/>
      <protection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0" borderId="47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4</xdr:row>
      <xdr:rowOff>152400</xdr:rowOff>
    </xdr:from>
    <xdr:to>
      <xdr:col>6</xdr:col>
      <xdr:colOff>447675</xdr:colOff>
      <xdr:row>19</xdr:row>
      <xdr:rowOff>104775</xdr:rowOff>
    </xdr:to>
    <xdr:pic>
      <xdr:nvPicPr>
        <xdr:cNvPr id="1" name="ピクチャ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38200"/>
          <a:ext cx="2543175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48</xdr:row>
      <xdr:rowOff>142875</xdr:rowOff>
    </xdr:from>
    <xdr:to>
      <xdr:col>13</xdr:col>
      <xdr:colOff>523875</xdr:colOff>
      <xdr:row>58</xdr:row>
      <xdr:rowOff>104775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562975"/>
          <a:ext cx="12096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48</xdr:row>
      <xdr:rowOff>142875</xdr:rowOff>
    </xdr:from>
    <xdr:to>
      <xdr:col>2</xdr:col>
      <xdr:colOff>485775</xdr:colOff>
      <xdr:row>58</xdr:row>
      <xdr:rowOff>66675</xdr:rowOff>
    </xdr:to>
    <xdr:pic>
      <xdr:nvPicPr>
        <xdr:cNvPr id="3" name="ピクチャ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8562975"/>
          <a:ext cx="11715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314325</xdr:colOff>
      <xdr:row>6</xdr:row>
      <xdr:rowOff>0</xdr:rowOff>
    </xdr:from>
    <xdr:to>
      <xdr:col>22</xdr:col>
      <xdr:colOff>371475</xdr:colOff>
      <xdr:row>28</xdr:row>
      <xdr:rowOff>47625</xdr:rowOff>
    </xdr:to>
    <xdr:pic>
      <xdr:nvPicPr>
        <xdr:cNvPr id="4" name="ピクチャ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87125" y="1038225"/>
          <a:ext cx="41719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workbookViewId="0" topLeftCell="N1">
      <selection activeCell="AK7" sqref="AK7"/>
    </sheetView>
  </sheetViews>
  <sheetFormatPr defaultColWidth="9.00390625" defaultRowHeight="13.5"/>
  <sheetData>
    <row r="1" ht="13.5">
      <c r="A1" t="s">
        <v>4</v>
      </c>
    </row>
    <row r="2" spans="2:22" ht="13.5">
      <c r="B2" s="4" t="s">
        <v>8</v>
      </c>
      <c r="C2" s="4"/>
      <c r="D2" s="4"/>
      <c r="E2" s="4"/>
      <c r="F2" s="4"/>
      <c r="R2" s="50" t="s">
        <v>9</v>
      </c>
      <c r="S2" s="4"/>
      <c r="T2" s="4"/>
      <c r="U2" s="4"/>
      <c r="V2" s="4"/>
    </row>
    <row r="4" ht="13.5">
      <c r="B4" t="s">
        <v>10</v>
      </c>
    </row>
    <row r="5" spans="3:8" ht="13.5">
      <c r="C5" s="38"/>
      <c r="D5" s="38"/>
      <c r="E5" s="38"/>
      <c r="F5" s="38"/>
      <c r="G5" s="38"/>
      <c r="H5" s="38"/>
    </row>
    <row r="6" spans="3:25" ht="14.25" thickBot="1">
      <c r="C6" s="38" t="s">
        <v>11</v>
      </c>
      <c r="D6" s="38"/>
      <c r="E6" s="38"/>
      <c r="F6" s="38"/>
      <c r="G6" s="38"/>
      <c r="H6" s="38"/>
      <c r="Q6" s="38"/>
      <c r="R6" s="38"/>
      <c r="S6" s="38"/>
      <c r="T6" s="38"/>
      <c r="U6" s="38"/>
      <c r="V6" s="38"/>
      <c r="W6" s="38"/>
      <c r="Y6" t="s">
        <v>12</v>
      </c>
    </row>
    <row r="7" spans="3:30" ht="13.5">
      <c r="C7" s="38"/>
      <c r="D7" s="38"/>
      <c r="E7" s="38"/>
      <c r="F7" s="38"/>
      <c r="G7" s="38" t="s">
        <v>13</v>
      </c>
      <c r="H7" s="38"/>
      <c r="Q7" s="38"/>
      <c r="R7" s="38"/>
      <c r="S7" s="38"/>
      <c r="T7" s="38"/>
      <c r="U7" s="38"/>
      <c r="V7" s="38"/>
      <c r="W7" s="38"/>
      <c r="Z7" s="31" t="s">
        <v>14</v>
      </c>
      <c r="AA7" s="42">
        <v>12</v>
      </c>
      <c r="AB7" s="32" t="s">
        <v>15</v>
      </c>
      <c r="AC7" s="32"/>
      <c r="AD7" s="2"/>
    </row>
    <row r="8" spans="3:30" ht="13.5">
      <c r="C8" s="38"/>
      <c r="D8" s="38"/>
      <c r="E8" s="38"/>
      <c r="F8" s="38"/>
      <c r="G8" s="38"/>
      <c r="H8" s="38"/>
      <c r="Q8" s="38"/>
      <c r="R8" s="38"/>
      <c r="S8" s="38"/>
      <c r="T8" s="38"/>
      <c r="U8" s="38"/>
      <c r="V8" s="38"/>
      <c r="W8" s="38" t="s">
        <v>16</v>
      </c>
      <c r="Z8" s="13" t="s">
        <v>17</v>
      </c>
      <c r="AA8" s="34">
        <v>0</v>
      </c>
      <c r="AB8" s="10" t="s">
        <v>15</v>
      </c>
      <c r="AC8" s="62"/>
      <c r="AD8" s="63"/>
    </row>
    <row r="9" spans="3:30" ht="13.5">
      <c r="C9" s="38" t="s">
        <v>18</v>
      </c>
      <c r="D9" s="38"/>
      <c r="E9" s="38"/>
      <c r="F9" s="38"/>
      <c r="G9" s="38"/>
      <c r="H9" s="38"/>
      <c r="Q9" s="38"/>
      <c r="R9" s="38"/>
      <c r="S9" s="38"/>
      <c r="T9" s="38"/>
      <c r="U9" s="38"/>
      <c r="V9" s="38"/>
      <c r="W9" s="38"/>
      <c r="Z9" s="13" t="s">
        <v>19</v>
      </c>
      <c r="AA9" s="34">
        <v>0</v>
      </c>
      <c r="AB9" s="10" t="s">
        <v>15</v>
      </c>
      <c r="AC9" s="62"/>
      <c r="AD9" s="63"/>
    </row>
    <row r="10" spans="3:30" ht="13.5">
      <c r="C10" s="38"/>
      <c r="D10" s="38"/>
      <c r="E10" s="38"/>
      <c r="F10" s="38"/>
      <c r="G10" s="38" t="s">
        <v>20</v>
      </c>
      <c r="H10" s="38"/>
      <c r="Q10" s="38"/>
      <c r="R10" s="38"/>
      <c r="S10" s="38"/>
      <c r="T10" s="38"/>
      <c r="U10" s="38"/>
      <c r="V10" s="38"/>
      <c r="W10" s="38"/>
      <c r="Z10" s="53" t="s">
        <v>21</v>
      </c>
      <c r="AA10" s="34">
        <v>0.3</v>
      </c>
      <c r="AB10" s="10" t="s">
        <v>15</v>
      </c>
      <c r="AC10" s="62" t="s">
        <v>22</v>
      </c>
      <c r="AD10" s="63"/>
    </row>
    <row r="11" spans="3:30" ht="13.5">
      <c r="C11" s="38"/>
      <c r="D11" s="38"/>
      <c r="E11" s="38"/>
      <c r="F11" s="38"/>
      <c r="G11" s="38"/>
      <c r="H11" s="38"/>
      <c r="Q11" s="38"/>
      <c r="R11" s="38"/>
      <c r="S11" s="38"/>
      <c r="T11" s="38" t="s">
        <v>23</v>
      </c>
      <c r="U11" s="38" t="s">
        <v>24</v>
      </c>
      <c r="V11" s="38"/>
      <c r="W11" s="38"/>
      <c r="Z11" s="53" t="s">
        <v>25</v>
      </c>
      <c r="AA11" s="34">
        <v>0.6</v>
      </c>
      <c r="AB11" s="10" t="s">
        <v>15</v>
      </c>
      <c r="AC11" s="62" t="s">
        <v>26</v>
      </c>
      <c r="AD11" s="63"/>
    </row>
    <row r="12" spans="3:33" ht="13.5">
      <c r="C12" s="38"/>
      <c r="D12" s="38"/>
      <c r="E12" s="38"/>
      <c r="F12" s="38"/>
      <c r="G12" s="38"/>
      <c r="H12" s="38"/>
      <c r="Q12" s="38"/>
      <c r="R12" s="38"/>
      <c r="S12" s="38"/>
      <c r="T12" s="38"/>
      <c r="U12" s="38"/>
      <c r="V12" s="38"/>
      <c r="W12" s="38"/>
      <c r="Z12" s="53" t="s">
        <v>25</v>
      </c>
      <c r="AA12" s="34">
        <v>0.45</v>
      </c>
      <c r="AB12" s="10" t="s">
        <v>15</v>
      </c>
      <c r="AC12" s="64" t="s">
        <v>27</v>
      </c>
      <c r="AD12" s="63"/>
      <c r="AE12" s="65" t="s">
        <v>28</v>
      </c>
      <c r="AF12" s="6"/>
      <c r="AG12" s="6"/>
    </row>
    <row r="13" spans="3:33" ht="13.5">
      <c r="C13" s="38"/>
      <c r="D13" s="38"/>
      <c r="E13" s="38"/>
      <c r="F13" s="38"/>
      <c r="G13" s="38" t="s">
        <v>29</v>
      </c>
      <c r="H13" s="38"/>
      <c r="Q13" s="38"/>
      <c r="R13" s="38"/>
      <c r="S13" s="38"/>
      <c r="T13" s="38"/>
      <c r="U13" s="38"/>
      <c r="V13" s="38"/>
      <c r="W13" s="38"/>
      <c r="Z13" s="53" t="s">
        <v>25</v>
      </c>
      <c r="AA13" s="34">
        <v>0.8</v>
      </c>
      <c r="AB13" s="10" t="s">
        <v>15</v>
      </c>
      <c r="AC13" s="64" t="s">
        <v>30</v>
      </c>
      <c r="AD13" s="63"/>
      <c r="AE13" s="65" t="s">
        <v>31</v>
      </c>
      <c r="AF13" s="6"/>
      <c r="AG13" s="6"/>
    </row>
    <row r="14" spans="3:30" ht="14.25" thickBot="1">
      <c r="C14" s="38" t="s">
        <v>32</v>
      </c>
      <c r="D14" s="38"/>
      <c r="E14" s="38"/>
      <c r="F14" s="38"/>
      <c r="G14" s="38"/>
      <c r="H14" s="38"/>
      <c r="Q14" s="38"/>
      <c r="R14" s="38"/>
      <c r="S14" s="38"/>
      <c r="T14" s="38"/>
      <c r="U14" s="38"/>
      <c r="V14" s="38"/>
      <c r="W14" s="38" t="s">
        <v>33</v>
      </c>
      <c r="Z14" s="13" t="s">
        <v>34</v>
      </c>
      <c r="AA14" s="34">
        <v>100</v>
      </c>
      <c r="AB14" s="10" t="s">
        <v>35</v>
      </c>
      <c r="AC14" s="62"/>
      <c r="AD14" s="63"/>
    </row>
    <row r="15" spans="3:30" ht="14.25" thickTop="1">
      <c r="C15" s="38"/>
      <c r="D15" s="38"/>
      <c r="E15" s="38"/>
      <c r="F15" s="38"/>
      <c r="G15" s="38"/>
      <c r="H15" s="38"/>
      <c r="K15" s="15"/>
      <c r="L15" s="16"/>
      <c r="M15" s="17"/>
      <c r="Q15" s="38"/>
      <c r="R15" s="38"/>
      <c r="S15" s="38"/>
      <c r="T15" s="38"/>
      <c r="U15" s="38"/>
      <c r="V15" s="38"/>
      <c r="W15" s="38"/>
      <c r="Z15" s="13" t="s">
        <v>36</v>
      </c>
      <c r="AA15" s="34">
        <v>15</v>
      </c>
      <c r="AB15" s="10" t="s">
        <v>35</v>
      </c>
      <c r="AC15" s="62"/>
      <c r="AD15" s="63"/>
    </row>
    <row r="16" spans="3:30" ht="13.5">
      <c r="C16" s="38" t="s">
        <v>37</v>
      </c>
      <c r="D16" s="38"/>
      <c r="E16" s="38"/>
      <c r="F16" s="38"/>
      <c r="G16" s="38"/>
      <c r="H16" s="38"/>
      <c r="K16" s="18" t="s">
        <v>38</v>
      </c>
      <c r="L16" s="6"/>
      <c r="M16" s="19"/>
      <c r="Q16" s="38" t="s">
        <v>39</v>
      </c>
      <c r="R16" s="38"/>
      <c r="S16" s="38"/>
      <c r="T16" s="38"/>
      <c r="U16" s="38"/>
      <c r="V16" s="38"/>
      <c r="W16" s="38"/>
      <c r="Z16" s="13" t="s">
        <v>40</v>
      </c>
      <c r="AA16" s="34">
        <v>0.2</v>
      </c>
      <c r="AB16" s="10" t="s">
        <v>35</v>
      </c>
      <c r="AC16" s="62"/>
      <c r="AD16" s="63"/>
    </row>
    <row r="17" spans="3:30" ht="13.5">
      <c r="C17" s="38"/>
      <c r="D17" s="38"/>
      <c r="E17" s="38"/>
      <c r="F17" s="38"/>
      <c r="G17" s="38"/>
      <c r="H17" s="38"/>
      <c r="K17" s="18"/>
      <c r="L17" s="6"/>
      <c r="M17" s="19"/>
      <c r="Q17" s="38"/>
      <c r="R17" s="38"/>
      <c r="S17" s="38"/>
      <c r="T17" s="38"/>
      <c r="U17" s="38"/>
      <c r="V17" s="38"/>
      <c r="W17" s="38"/>
      <c r="Z17" s="13" t="s">
        <v>41</v>
      </c>
      <c r="AA17" s="34">
        <v>100</v>
      </c>
      <c r="AB17" s="10" t="s">
        <v>35</v>
      </c>
      <c r="AC17" s="62" t="s">
        <v>42</v>
      </c>
      <c r="AD17" s="63"/>
    </row>
    <row r="18" spans="3:30" ht="14.25" thickBot="1">
      <c r="C18" s="38"/>
      <c r="D18" s="38"/>
      <c r="E18" s="38"/>
      <c r="F18" s="38"/>
      <c r="G18" s="38"/>
      <c r="H18" s="38"/>
      <c r="K18" s="20" t="s">
        <v>43</v>
      </c>
      <c r="L18" s="21">
        <f>+D27+(D25-D27)*D31/(D30+D31)</f>
        <v>4.991176836087983</v>
      </c>
      <c r="M18" s="22" t="s">
        <v>44</v>
      </c>
      <c r="Q18" s="38"/>
      <c r="R18" s="38"/>
      <c r="S18" s="38"/>
      <c r="T18" s="38"/>
      <c r="U18" s="38"/>
      <c r="V18" s="38"/>
      <c r="W18" s="38" t="s">
        <v>45</v>
      </c>
      <c r="Z18" s="14"/>
      <c r="AA18" s="12"/>
      <c r="AB18" s="12"/>
      <c r="AC18" s="12"/>
      <c r="AD18" s="3"/>
    </row>
    <row r="19" spans="3:23" ht="14.25" thickBot="1">
      <c r="C19" s="38" t="s">
        <v>46</v>
      </c>
      <c r="D19" s="38"/>
      <c r="E19" s="38"/>
      <c r="F19" s="38"/>
      <c r="G19" s="38"/>
      <c r="H19" s="38"/>
      <c r="K19" s="23"/>
      <c r="L19" s="24"/>
      <c r="M19" s="25"/>
      <c r="Q19" s="38"/>
      <c r="R19" s="38"/>
      <c r="S19" s="38"/>
      <c r="T19" s="38"/>
      <c r="U19" s="38"/>
      <c r="V19" s="38"/>
      <c r="W19" s="38"/>
    </row>
    <row r="20" spans="3:23" ht="15" thickBot="1" thickTop="1">
      <c r="C20" s="38"/>
      <c r="D20" s="38"/>
      <c r="E20" s="38"/>
      <c r="F20" s="38"/>
      <c r="G20" s="38"/>
      <c r="H20" s="38"/>
      <c r="Q20" s="38"/>
      <c r="R20" s="38"/>
      <c r="S20" s="38"/>
      <c r="T20" s="38"/>
      <c r="U20" s="38"/>
      <c r="V20" s="38"/>
      <c r="W20" s="38"/>
    </row>
    <row r="21" spans="3:25" ht="14.25" thickBot="1">
      <c r="C21" s="38"/>
      <c r="D21" s="38"/>
      <c r="E21" s="38"/>
      <c r="F21" s="38"/>
      <c r="G21" s="38"/>
      <c r="H21" s="38"/>
      <c r="K21" s="26" t="s">
        <v>47</v>
      </c>
      <c r="L21" s="27"/>
      <c r="M21" s="27"/>
      <c r="N21" s="1"/>
      <c r="Q21" s="38"/>
      <c r="R21" s="38"/>
      <c r="S21" s="38"/>
      <c r="T21" s="38"/>
      <c r="U21" s="38"/>
      <c r="V21" s="38"/>
      <c r="W21" s="38"/>
      <c r="Y21" t="s">
        <v>7</v>
      </c>
    </row>
    <row r="22" spans="3:30" ht="13.5">
      <c r="C22" s="38"/>
      <c r="D22" s="38"/>
      <c r="E22" s="38" t="s">
        <v>51</v>
      </c>
      <c r="F22" s="38" t="s">
        <v>45</v>
      </c>
      <c r="G22" s="38"/>
      <c r="H22" s="38"/>
      <c r="K22" s="11"/>
      <c r="L22" s="6"/>
      <c r="M22" s="6"/>
      <c r="N22" s="28"/>
      <c r="Q22" s="38"/>
      <c r="R22" s="38"/>
      <c r="S22" s="38"/>
      <c r="T22" s="38"/>
      <c r="U22" s="38"/>
      <c r="V22" s="38"/>
      <c r="W22" s="38"/>
      <c r="Z22" s="66"/>
      <c r="AA22" s="59"/>
      <c r="AB22" s="59" t="s">
        <v>48</v>
      </c>
      <c r="AC22" s="59" t="s">
        <v>49</v>
      </c>
      <c r="AD22" s="48" t="s">
        <v>50</v>
      </c>
    </row>
    <row r="23" spans="11:30" ht="13.5">
      <c r="K23" s="11" t="s">
        <v>53</v>
      </c>
      <c r="L23" s="6"/>
      <c r="M23" s="6"/>
      <c r="N23" s="28"/>
      <c r="Q23" s="38"/>
      <c r="R23" s="38"/>
      <c r="S23" s="38"/>
      <c r="T23" s="38"/>
      <c r="U23" s="38"/>
      <c r="V23" s="38"/>
      <c r="W23" s="38"/>
      <c r="Z23" s="67" t="s">
        <v>39</v>
      </c>
      <c r="AA23" s="61" t="s">
        <v>52</v>
      </c>
      <c r="AB23" s="61">
        <f>AG53+AA11</f>
        <v>0.7318260358710302</v>
      </c>
      <c r="AC23" s="61">
        <f>AF35+AA11</f>
        <v>0.6233532934131736</v>
      </c>
      <c r="AD23" s="68">
        <f>AB23-AC23</f>
        <v>0.10847274245785665</v>
      </c>
    </row>
    <row r="24" spans="2:30" ht="14.25" thickBot="1">
      <c r="B24" t="s">
        <v>12</v>
      </c>
      <c r="K24" s="29" t="s">
        <v>55</v>
      </c>
      <c r="L24" s="21">
        <v>7.2</v>
      </c>
      <c r="M24" s="30" t="s">
        <v>56</v>
      </c>
      <c r="N24" s="28"/>
      <c r="Q24" s="38"/>
      <c r="R24" s="38"/>
      <c r="S24" s="38" t="s">
        <v>57</v>
      </c>
      <c r="T24" s="38"/>
      <c r="U24" s="38"/>
      <c r="V24" s="38"/>
      <c r="W24" s="38"/>
      <c r="Z24" s="67" t="s">
        <v>39</v>
      </c>
      <c r="AA24" s="61" t="s">
        <v>54</v>
      </c>
      <c r="AB24" s="61">
        <f>AG53+AA12</f>
        <v>0.5818260358710302</v>
      </c>
      <c r="AC24" s="61">
        <f>AF35+AA12</f>
        <v>0.47335329341317367</v>
      </c>
      <c r="AD24" s="68">
        <f>AB24-AC24</f>
        <v>0.10847274245785654</v>
      </c>
    </row>
    <row r="25" spans="3:30" ht="14.25" thickBot="1">
      <c r="C25" s="31" t="s">
        <v>14</v>
      </c>
      <c r="D25" s="42">
        <v>12</v>
      </c>
      <c r="E25" s="32" t="s">
        <v>15</v>
      </c>
      <c r="F25" s="32"/>
      <c r="G25" s="33"/>
      <c r="H25" s="33"/>
      <c r="I25" s="2"/>
      <c r="K25" s="29" t="s">
        <v>59</v>
      </c>
      <c r="L25" s="21">
        <v>22</v>
      </c>
      <c r="M25" s="30" t="s">
        <v>56</v>
      </c>
      <c r="N25" s="28"/>
      <c r="Q25" s="38"/>
      <c r="R25" s="38"/>
      <c r="S25" s="38"/>
      <c r="T25" s="38"/>
      <c r="U25" s="38"/>
      <c r="V25" s="38" t="s">
        <v>60</v>
      </c>
      <c r="W25" s="38"/>
      <c r="Z25" s="69" t="s">
        <v>39</v>
      </c>
      <c r="AA25" s="60" t="s">
        <v>58</v>
      </c>
      <c r="AB25" s="60">
        <f>AG53+AA13</f>
        <v>0.9318260358710302</v>
      </c>
      <c r="AC25" s="60">
        <f>AF35+AA13</f>
        <v>0.8233532934131736</v>
      </c>
      <c r="AD25" s="68">
        <f>AB25-AC25</f>
        <v>0.10847274245785654</v>
      </c>
    </row>
    <row r="26" spans="3:30" ht="14.25" thickBot="1">
      <c r="C26" s="13" t="s">
        <v>17</v>
      </c>
      <c r="D26" s="34">
        <v>5</v>
      </c>
      <c r="E26" s="10" t="s">
        <v>15</v>
      </c>
      <c r="F26" s="10"/>
      <c r="G26" s="7"/>
      <c r="H26" s="7"/>
      <c r="I26" s="5"/>
      <c r="K26" s="57" t="s">
        <v>62</v>
      </c>
      <c r="L26" s="58">
        <f>+L24*L25/(L24+L25)</f>
        <v>5.424657534246576</v>
      </c>
      <c r="M26" s="58" t="s">
        <v>56</v>
      </c>
      <c r="N26" s="28"/>
      <c r="Q26" s="38"/>
      <c r="R26" s="38"/>
      <c r="S26" s="38"/>
      <c r="T26" s="38"/>
      <c r="U26" s="38"/>
      <c r="V26" s="38"/>
      <c r="W26" s="38"/>
      <c r="Z26" s="39" t="s">
        <v>61</v>
      </c>
      <c r="AA26" s="70"/>
      <c r="AB26" s="70">
        <f>AA7-AA15*AC54</f>
        <v>0.43182603587102975</v>
      </c>
      <c r="AC26" s="70">
        <f>AA9+AA17*(AA7+AA9)/(AA15+AA17)</f>
        <v>10.434782608695652</v>
      </c>
      <c r="AD26" s="46"/>
    </row>
    <row r="27" spans="3:23" ht="13.5">
      <c r="C27" s="13" t="s">
        <v>19</v>
      </c>
      <c r="D27" s="34">
        <v>0</v>
      </c>
      <c r="E27" s="10" t="s">
        <v>15</v>
      </c>
      <c r="F27" s="10"/>
      <c r="G27" s="7"/>
      <c r="H27" s="7"/>
      <c r="I27" s="5"/>
      <c r="K27" s="11"/>
      <c r="L27" s="6"/>
      <c r="M27" s="6"/>
      <c r="N27" s="28"/>
      <c r="Q27" s="38"/>
      <c r="R27" s="38"/>
      <c r="S27" s="38"/>
      <c r="T27" s="38"/>
      <c r="U27" s="38"/>
      <c r="V27" s="38"/>
      <c r="W27" s="38"/>
    </row>
    <row r="28" spans="3:23" ht="13.5">
      <c r="C28" s="13" t="s">
        <v>63</v>
      </c>
      <c r="D28" s="34">
        <v>0.3</v>
      </c>
      <c r="E28" s="10" t="s">
        <v>15</v>
      </c>
      <c r="F28" s="10" t="s">
        <v>64</v>
      </c>
      <c r="G28" s="7"/>
      <c r="H28" s="7"/>
      <c r="I28" s="5"/>
      <c r="K28" s="11" t="s">
        <v>65</v>
      </c>
      <c r="L28" s="6"/>
      <c r="M28" s="6"/>
      <c r="N28" s="28"/>
      <c r="Q28" s="38"/>
      <c r="R28" s="38"/>
      <c r="S28" s="38"/>
      <c r="T28" s="38"/>
      <c r="U28" s="38"/>
      <c r="V28" s="38"/>
      <c r="W28" s="38"/>
    </row>
    <row r="29" spans="3:23" ht="13.5">
      <c r="C29" s="13" t="s">
        <v>66</v>
      </c>
      <c r="D29" s="34">
        <v>0.07</v>
      </c>
      <c r="E29" s="10" t="s">
        <v>15</v>
      </c>
      <c r="F29" s="10" t="s">
        <v>67</v>
      </c>
      <c r="G29" s="7"/>
      <c r="H29" s="7"/>
      <c r="I29" s="5"/>
      <c r="K29" s="29" t="s">
        <v>55</v>
      </c>
      <c r="L29" s="21">
        <v>6</v>
      </c>
      <c r="M29" s="30" t="s">
        <v>56</v>
      </c>
      <c r="N29" s="28"/>
      <c r="Q29" s="38"/>
      <c r="R29" s="38"/>
      <c r="S29" s="38"/>
      <c r="T29" s="38" t="s">
        <v>3</v>
      </c>
      <c r="U29" s="38"/>
      <c r="V29" s="38"/>
      <c r="W29" s="38"/>
    </row>
    <row r="30" spans="3:23" ht="13.5">
      <c r="C30" s="13" t="s">
        <v>34</v>
      </c>
      <c r="D30" s="34">
        <v>47</v>
      </c>
      <c r="E30" s="10" t="s">
        <v>35</v>
      </c>
      <c r="F30" s="10"/>
      <c r="G30" s="7"/>
      <c r="H30" s="7"/>
      <c r="I30" s="5"/>
      <c r="K30" s="29" t="s">
        <v>62</v>
      </c>
      <c r="L30" s="21">
        <v>5</v>
      </c>
      <c r="M30" s="30" t="s">
        <v>56</v>
      </c>
      <c r="N30" s="28"/>
      <c r="Q30" s="38"/>
      <c r="R30" s="38"/>
      <c r="S30" s="38"/>
      <c r="T30" s="38"/>
      <c r="U30" s="38"/>
      <c r="V30" s="38"/>
      <c r="W30" s="38"/>
    </row>
    <row r="31" spans="3:14" ht="14.25" thickBot="1">
      <c r="C31" s="13" t="s">
        <v>36</v>
      </c>
      <c r="D31" s="34">
        <v>33.47</v>
      </c>
      <c r="E31" s="10" t="s">
        <v>35</v>
      </c>
      <c r="F31" s="10"/>
      <c r="G31" s="7"/>
      <c r="H31" s="7"/>
      <c r="I31" s="5"/>
      <c r="K31" s="56" t="s">
        <v>59</v>
      </c>
      <c r="L31" s="40">
        <f>+L29*L30/(L29-L30)</f>
        <v>30</v>
      </c>
      <c r="M31" s="40" t="s">
        <v>56</v>
      </c>
      <c r="N31" s="3"/>
    </row>
    <row r="32" spans="3:9" ht="13.5">
      <c r="C32" s="13" t="s">
        <v>40</v>
      </c>
      <c r="D32" s="34">
        <v>0</v>
      </c>
      <c r="E32" s="10" t="s">
        <v>35</v>
      </c>
      <c r="F32" s="10"/>
      <c r="G32" s="7"/>
      <c r="H32" s="7"/>
      <c r="I32" s="5"/>
    </row>
    <row r="33" spans="3:9" ht="13.5">
      <c r="C33" s="13" t="s">
        <v>41</v>
      </c>
      <c r="D33" s="34">
        <v>100</v>
      </c>
      <c r="E33" s="10" t="s">
        <v>35</v>
      </c>
      <c r="F33" s="10"/>
      <c r="G33" s="7"/>
      <c r="H33" s="7"/>
      <c r="I33" s="5"/>
    </row>
    <row r="34" spans="3:25" ht="13.5">
      <c r="C34" s="11" t="s">
        <v>68</v>
      </c>
      <c r="D34" s="54">
        <v>2.2</v>
      </c>
      <c r="E34" s="8" t="s">
        <v>35</v>
      </c>
      <c r="F34" s="8" t="s">
        <v>69</v>
      </c>
      <c r="G34" s="6"/>
      <c r="H34" s="6"/>
      <c r="I34" s="28"/>
      <c r="Y34" t="s">
        <v>70</v>
      </c>
    </row>
    <row r="35" spans="3:32" ht="14.25" thickBot="1">
      <c r="C35" s="14"/>
      <c r="D35" s="12"/>
      <c r="E35" s="12"/>
      <c r="F35" s="12" t="s">
        <v>71</v>
      </c>
      <c r="G35" s="9"/>
      <c r="H35" s="9"/>
      <c r="I35" s="3"/>
      <c r="Z35" s="52" t="s">
        <v>49</v>
      </c>
      <c r="AA35" s="52" t="s">
        <v>72</v>
      </c>
      <c r="AF35">
        <f>AA8+(AA7-AA8-AA10)*AA16/(AA14+AA16)</f>
        <v>0.023353293413173652</v>
      </c>
    </row>
    <row r="37" spans="26:27" ht="13.5">
      <c r="Z37" s="52" t="s">
        <v>73</v>
      </c>
      <c r="AA37" s="52" t="s">
        <v>74</v>
      </c>
    </row>
    <row r="38" ht="13.5">
      <c r="B38" t="s">
        <v>7</v>
      </c>
    </row>
    <row r="39" spans="3:8" ht="14.25" thickBot="1">
      <c r="C39" t="s">
        <v>75</v>
      </c>
      <c r="H39" t="s">
        <v>76</v>
      </c>
    </row>
    <row r="40" spans="3:25" ht="14.25" thickBot="1">
      <c r="C40" s="44"/>
      <c r="D40" s="45" t="s">
        <v>48</v>
      </c>
      <c r="E40" s="45" t="s">
        <v>49</v>
      </c>
      <c r="F40" s="43" t="s">
        <v>50</v>
      </c>
      <c r="H40" s="44"/>
      <c r="I40" s="45" t="s">
        <v>48</v>
      </c>
      <c r="J40" s="45" t="s">
        <v>49</v>
      </c>
      <c r="K40" s="43" t="s">
        <v>50</v>
      </c>
      <c r="Q40" s="75" t="s">
        <v>121</v>
      </c>
      <c r="R40" s="75"/>
      <c r="S40" s="75"/>
      <c r="T40" s="75"/>
      <c r="U40" s="75"/>
      <c r="V40" s="75"/>
      <c r="W40" s="75"/>
      <c r="X40" s="75"/>
      <c r="Y40" s="75"/>
    </row>
    <row r="41" spans="3:25" ht="13.5">
      <c r="C41" s="55" t="s">
        <v>77</v>
      </c>
      <c r="D41" s="41">
        <f>+E70</f>
        <v>4.992593540716642</v>
      </c>
      <c r="E41" s="41">
        <f>+P70</f>
        <v>4.2240693174388175</v>
      </c>
      <c r="F41" s="49">
        <f>+D41-E41</f>
        <v>0.7685242232778249</v>
      </c>
      <c r="H41" s="55" t="s">
        <v>77</v>
      </c>
      <c r="I41" s="41">
        <f>+D29</f>
        <v>0.07</v>
      </c>
      <c r="J41" s="41">
        <f>+I41</f>
        <v>0.07</v>
      </c>
      <c r="K41" s="49">
        <f>+I41-J41</f>
        <v>0</v>
      </c>
      <c r="Q41" s="75" t="s">
        <v>119</v>
      </c>
      <c r="R41" s="75"/>
      <c r="S41" s="75"/>
      <c r="T41" s="75"/>
      <c r="U41" s="75"/>
      <c r="V41" s="75"/>
      <c r="W41" s="75"/>
      <c r="X41" s="75"/>
      <c r="Y41" s="75"/>
    </row>
    <row r="42" spans="3:25" ht="14.25" thickBot="1">
      <c r="C42" s="56" t="s">
        <v>78</v>
      </c>
      <c r="D42" s="47">
        <f>+E71</f>
        <v>4.992593540716642</v>
      </c>
      <c r="E42" s="47">
        <f>+P71</f>
        <v>4.2240693174388175</v>
      </c>
      <c r="F42" s="46">
        <f>+D42-E42</f>
        <v>0.7685242232778249</v>
      </c>
      <c r="H42" s="56" t="s">
        <v>78</v>
      </c>
      <c r="I42" s="47">
        <f>+I41+(D26-I41)*D32/(D32+D33+D34)</f>
        <v>0.07</v>
      </c>
      <c r="J42" s="47">
        <f>+J41+(D28-J41)*D32/(D32+D33)</f>
        <v>0.07</v>
      </c>
      <c r="K42" s="46">
        <f>+I42-J42</f>
        <v>0</v>
      </c>
      <c r="Q42" s="75"/>
      <c r="R42" s="75"/>
      <c r="S42" s="75"/>
      <c r="T42" s="75"/>
      <c r="U42" s="75"/>
      <c r="V42" s="75"/>
      <c r="W42" s="75"/>
      <c r="X42" s="75"/>
      <c r="Y42" s="75"/>
    </row>
    <row r="43" spans="17:25" ht="13.5">
      <c r="Q43" s="75" t="s">
        <v>122</v>
      </c>
      <c r="R43" s="75"/>
      <c r="S43" s="75"/>
      <c r="T43" s="75"/>
      <c r="U43" s="75"/>
      <c r="V43" s="75"/>
      <c r="W43" s="75"/>
      <c r="X43" s="75"/>
      <c r="Y43" s="75"/>
    </row>
    <row r="44" spans="17:25" ht="13.5">
      <c r="Q44" s="75" t="s">
        <v>123</v>
      </c>
      <c r="R44" s="75"/>
      <c r="S44" s="75"/>
      <c r="T44" s="75"/>
      <c r="U44" s="75"/>
      <c r="V44" s="75"/>
      <c r="W44" s="75"/>
      <c r="X44" s="75"/>
      <c r="Y44" s="75"/>
    </row>
    <row r="45" spans="17:25" ht="14.25" thickBot="1">
      <c r="Q45" s="75" t="s">
        <v>124</v>
      </c>
      <c r="R45" s="75"/>
      <c r="S45" s="75"/>
      <c r="T45" s="75"/>
      <c r="U45" s="75"/>
      <c r="V45" s="75"/>
      <c r="W45" s="75"/>
      <c r="X45" s="75"/>
      <c r="Y45" s="75"/>
    </row>
    <row r="46" spans="1:20" ht="15" thickBot="1" thickTop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</row>
    <row r="47" ht="14.25" thickTop="1">
      <c r="B47" t="s">
        <v>70</v>
      </c>
    </row>
    <row r="48" spans="26:27" ht="13.5">
      <c r="Z48" s="51" t="s">
        <v>2</v>
      </c>
      <c r="AA48" s="51"/>
    </row>
    <row r="49" spans="1:32" ht="13.5">
      <c r="A49" t="s">
        <v>79</v>
      </c>
      <c r="C49" t="s">
        <v>80</v>
      </c>
      <c r="L49" t="s">
        <v>79</v>
      </c>
      <c r="Z49" t="s">
        <v>81</v>
      </c>
      <c r="AC49" t="s">
        <v>82</v>
      </c>
      <c r="AE49" s="52" t="s">
        <v>83</v>
      </c>
      <c r="AF49" t="s">
        <v>84</v>
      </c>
    </row>
    <row r="50" spans="26:32" ht="13.5">
      <c r="Z50" t="s">
        <v>85</v>
      </c>
      <c r="AC50" t="s">
        <v>86</v>
      </c>
      <c r="AE50" t="s">
        <v>87</v>
      </c>
      <c r="AF50" t="s">
        <v>88</v>
      </c>
    </row>
    <row r="51" spans="1:12" ht="13.5">
      <c r="A51" t="s">
        <v>89</v>
      </c>
      <c r="C51" t="s">
        <v>90</v>
      </c>
      <c r="L51" t="s">
        <v>89</v>
      </c>
    </row>
    <row r="52" spans="1:28" ht="13.5">
      <c r="A52" t="s">
        <v>91</v>
      </c>
      <c r="L52" t="s">
        <v>91</v>
      </c>
      <c r="Z52" t="s">
        <v>92</v>
      </c>
      <c r="AB52" t="s">
        <v>7</v>
      </c>
    </row>
    <row r="53" spans="26:33" ht="13.5">
      <c r="Z53" s="71" t="s">
        <v>93</v>
      </c>
      <c r="AA53" s="72">
        <f>AA7-AA10-AA8</f>
        <v>11.7</v>
      </c>
      <c r="AB53" s="71" t="s">
        <v>94</v>
      </c>
      <c r="AC53" s="72">
        <f>(AA56-AA53/AA54)/(AA58-((AA55*AA57)/AA54))</f>
        <v>-0.11208141825344714</v>
      </c>
      <c r="AE53" t="s">
        <v>95</v>
      </c>
      <c r="AG53">
        <f>AA8+AA16*(AC53+AC54)</f>
        <v>0.1318260358710302</v>
      </c>
    </row>
    <row r="54" spans="26:29" ht="13.5">
      <c r="Z54" s="71" t="s">
        <v>96</v>
      </c>
      <c r="AA54" s="72">
        <f>AA15+AA16</f>
        <v>15.2</v>
      </c>
      <c r="AB54" s="73" t="s">
        <v>97</v>
      </c>
      <c r="AC54" s="74">
        <f>AA53/AA54-(AA55*AC53)/AA54</f>
        <v>0.771211597608598</v>
      </c>
    </row>
    <row r="55" spans="1:29" ht="13.5">
      <c r="A55" t="s">
        <v>98</v>
      </c>
      <c r="L55" t="s">
        <v>98</v>
      </c>
      <c r="Z55" s="71" t="s">
        <v>5</v>
      </c>
      <c r="AA55" s="72">
        <f>AA16</f>
        <v>0.2</v>
      </c>
      <c r="AB55" s="51"/>
      <c r="AC55" s="51"/>
    </row>
    <row r="56" spans="15:29" ht="13.5">
      <c r="O56" t="s">
        <v>99</v>
      </c>
      <c r="Z56" s="71" t="s">
        <v>100</v>
      </c>
      <c r="AA56" s="72">
        <f>AA7-AA9</f>
        <v>12</v>
      </c>
      <c r="AB56" s="51"/>
      <c r="AC56" s="51"/>
    </row>
    <row r="57" spans="26:29" ht="13.5">
      <c r="Z57" s="71" t="s">
        <v>6</v>
      </c>
      <c r="AA57" s="72">
        <f>AA15</f>
        <v>15</v>
      </c>
      <c r="AB57" s="51"/>
      <c r="AC57" s="51"/>
    </row>
    <row r="58" spans="1:29" ht="13.5">
      <c r="A58" t="s">
        <v>101</v>
      </c>
      <c r="L58" t="s">
        <v>101</v>
      </c>
      <c r="O58" t="s">
        <v>102</v>
      </c>
      <c r="Z58" s="73" t="s">
        <v>103</v>
      </c>
      <c r="AA58" s="74">
        <f>(-1)*AA17</f>
        <v>-100</v>
      </c>
      <c r="AB58" s="51"/>
      <c r="AC58" s="51"/>
    </row>
    <row r="59" spans="3:13" ht="13.5">
      <c r="C59" t="s">
        <v>104</v>
      </c>
      <c r="M59" t="s">
        <v>105</v>
      </c>
    </row>
    <row r="62" spans="2:21" ht="13.5">
      <c r="B62" t="s">
        <v>16</v>
      </c>
      <c r="C62" t="s">
        <v>3</v>
      </c>
      <c r="D62" t="s">
        <v>60</v>
      </c>
      <c r="E62" t="s">
        <v>23</v>
      </c>
      <c r="F62" t="s">
        <v>0</v>
      </c>
      <c r="G62" t="s">
        <v>57</v>
      </c>
      <c r="H62" t="s">
        <v>106</v>
      </c>
      <c r="I62" t="s">
        <v>107</v>
      </c>
      <c r="J62" t="s">
        <v>4</v>
      </c>
      <c r="M62" t="s">
        <v>16</v>
      </c>
      <c r="N62" t="s">
        <v>102</v>
      </c>
      <c r="O62" t="s">
        <v>60</v>
      </c>
      <c r="P62" t="s">
        <v>23</v>
      </c>
      <c r="Q62" t="s">
        <v>0</v>
      </c>
      <c r="R62" t="s">
        <v>57</v>
      </c>
      <c r="S62" t="s">
        <v>106</v>
      </c>
      <c r="T62" t="s">
        <v>107</v>
      </c>
      <c r="U62" t="s">
        <v>1</v>
      </c>
    </row>
    <row r="63" spans="2:21" ht="13.5">
      <c r="B63">
        <f>+D25</f>
        <v>12</v>
      </c>
      <c r="C63">
        <f>+D26</f>
        <v>5</v>
      </c>
      <c r="D63">
        <f>+D27</f>
        <v>0</v>
      </c>
      <c r="E63">
        <f>+D30</f>
        <v>47</v>
      </c>
      <c r="F63">
        <f>+D31</f>
        <v>33.47</v>
      </c>
      <c r="G63">
        <f>+D32</f>
        <v>0</v>
      </c>
      <c r="H63">
        <f>+D33</f>
        <v>100</v>
      </c>
      <c r="I63">
        <f>+D34</f>
        <v>2.2</v>
      </c>
      <c r="J63" t="s">
        <v>4</v>
      </c>
      <c r="M63">
        <f>+B63</f>
        <v>12</v>
      </c>
      <c r="N63">
        <f>+D28</f>
        <v>0.3</v>
      </c>
      <c r="O63">
        <f aca="true" t="shared" si="0" ref="O63:T63">+D63</f>
        <v>0</v>
      </c>
      <c r="P63">
        <f t="shared" si="0"/>
        <v>47</v>
      </c>
      <c r="Q63">
        <f t="shared" si="0"/>
        <v>33.47</v>
      </c>
      <c r="R63">
        <f t="shared" si="0"/>
        <v>0</v>
      </c>
      <c r="S63">
        <f t="shared" si="0"/>
        <v>100</v>
      </c>
      <c r="T63">
        <f t="shared" si="0"/>
        <v>2.2</v>
      </c>
      <c r="U63" t="s">
        <v>1</v>
      </c>
    </row>
    <row r="65" spans="2:16" ht="13.5">
      <c r="B65" t="s">
        <v>108</v>
      </c>
      <c r="E65">
        <f>+G63+H63+I63</f>
        <v>102.2</v>
      </c>
      <c r="M65" t="s">
        <v>109</v>
      </c>
      <c r="P65">
        <f>+R63+S63</f>
        <v>100</v>
      </c>
    </row>
    <row r="66" spans="2:16" ht="13.5">
      <c r="B66" t="s">
        <v>110</v>
      </c>
      <c r="E66">
        <f>+(C63-D63)*E63-(B63-C63)*F63</f>
        <v>0.710000000000008</v>
      </c>
      <c r="M66" t="s">
        <v>111</v>
      </c>
      <c r="P66">
        <f>+(N63-O63)*P63-(M63-N63)*Q63</f>
        <v>-377.49899999999997</v>
      </c>
    </row>
    <row r="67" spans="2:16" ht="13.5">
      <c r="B67" t="s">
        <v>112</v>
      </c>
      <c r="E67">
        <f>+F63*E65+E63*(F63+E65)</f>
        <v>9797.124</v>
      </c>
      <c r="M67" t="s">
        <v>112</v>
      </c>
      <c r="P67">
        <f>+Q63*P65+P63*(Q63+P65)</f>
        <v>9620.09</v>
      </c>
    </row>
    <row r="68" spans="2:16" ht="13.5">
      <c r="B68" t="s">
        <v>113</v>
      </c>
      <c r="E68">
        <f>E66/E67</f>
        <v>7.247024739096984E-05</v>
      </c>
      <c r="M68" t="s">
        <v>113</v>
      </c>
      <c r="P68">
        <f>P66/P67</f>
        <v>-0.03924069317438818</v>
      </c>
    </row>
    <row r="69" spans="2:16" ht="13.5">
      <c r="B69" t="s">
        <v>114</v>
      </c>
      <c r="E69">
        <f>+(B63-C63+E65*E68)/E63</f>
        <v>0.14909375445283737</v>
      </c>
      <c r="M69" t="s">
        <v>115</v>
      </c>
      <c r="P69">
        <f>+(M63-N63+P65*P68)/P63</f>
        <v>0.1654453336715145</v>
      </c>
    </row>
    <row r="70" spans="2:16" ht="13.5">
      <c r="B70" t="s">
        <v>116</v>
      </c>
      <c r="E70">
        <f>+F63*(E69+E68)</f>
        <v>4.992593540716642</v>
      </c>
      <c r="M70" t="s">
        <v>116</v>
      </c>
      <c r="P70">
        <f>+Q63*(P69+P68)</f>
        <v>4.2240693174388175</v>
      </c>
    </row>
    <row r="71" spans="2:16" ht="13.5">
      <c r="B71" t="s">
        <v>117</v>
      </c>
      <c r="E71">
        <f>+E70+G63*E68</f>
        <v>4.992593540716642</v>
      </c>
      <c r="M71" t="s">
        <v>117</v>
      </c>
      <c r="P71">
        <f>+P70+R63*P68</f>
        <v>4.2240693174388175</v>
      </c>
    </row>
    <row r="77" spans="2:6" ht="13.5">
      <c r="B77" s="75" t="s">
        <v>118</v>
      </c>
      <c r="C77" s="75"/>
      <c r="D77" s="75"/>
      <c r="E77" s="75"/>
      <c r="F77" s="75"/>
    </row>
    <row r="78" spans="2:6" ht="13.5">
      <c r="B78" s="75" t="s">
        <v>119</v>
      </c>
      <c r="C78" s="75"/>
      <c r="D78" s="75"/>
      <c r="E78" s="75"/>
      <c r="F78" s="75"/>
    </row>
    <row r="79" spans="2:6" ht="13.5">
      <c r="B79" s="75"/>
      <c r="C79" s="75"/>
      <c r="D79" s="75"/>
      <c r="E79" s="75"/>
      <c r="F79" s="75"/>
    </row>
    <row r="80" spans="2:6" ht="13.5">
      <c r="B80" s="75" t="s">
        <v>120</v>
      </c>
      <c r="C80" s="75"/>
      <c r="D80" s="75"/>
      <c r="E80" s="75"/>
      <c r="F80" s="75"/>
    </row>
  </sheetData>
  <printOptions/>
  <pageMargins left="0.75" right="0.75" top="1" bottom="1" header="0.512" footer="0.512"/>
  <pageSetup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ｋｏｙｏ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</dc:creator>
  <cp:keywords/>
  <dc:description/>
  <cp:lastModifiedBy>高野</cp:lastModifiedBy>
  <cp:lastPrinted>1999-05-12T05:18:49Z</cp:lastPrinted>
  <dcterms:created xsi:type="dcterms:W3CDTF">1997-07-16T02:40:36Z</dcterms:created>
  <dcterms:modified xsi:type="dcterms:W3CDTF">2000-05-03T00:08:30Z</dcterms:modified>
  <cp:category/>
  <cp:version/>
  <cp:contentType/>
  <cp:contentStatus/>
</cp:coreProperties>
</file>